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peter\OneDrive\Dokument\Bostadsutvecklaren i Sverige AB\Bostadsutvecklaren\Projektuppslag\Villa Trend\Underlag till hemsida 20260109\"/>
    </mc:Choice>
  </mc:AlternateContent>
  <xr:revisionPtr revIDLastSave="0" documentId="13_ncr:1_{9CA0422A-4BB3-4ACC-B658-B259C4C2D235}" xr6:coauthVersionLast="47" xr6:coauthVersionMax="47" xr10:uidLastSave="{00000000-0000-0000-0000-000000000000}"/>
  <bookViews>
    <workbookView xWindow="28680" yWindow="-120" windowWidth="38640" windowHeight="21120" activeTab="1" xr2:uid="{00000000-000D-0000-FFFF-FFFF00000000}"/>
  </bookViews>
  <sheets>
    <sheet name="KALP Detaljer" sheetId="1" r:id="rId1"/>
    <sheet name="Blad1" sheetId="2" r:id="rId2"/>
    <sheet name="Blad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2" l="1"/>
  <c r="F35" i="2"/>
  <c r="E10" i="3"/>
  <c r="J9" i="2"/>
  <c r="J17" i="2" s="1"/>
  <c r="J19" i="2"/>
  <c r="K13" i="1"/>
  <c r="K8" i="1"/>
  <c r="K26" i="1" s="1"/>
  <c r="F21" i="1"/>
  <c r="F22" i="1"/>
  <c r="F8" i="1"/>
  <c r="F7" i="1"/>
  <c r="K27" i="1" l="1"/>
  <c r="K14" i="1" s="1"/>
  <c r="K29" i="1" s="1"/>
  <c r="J25" i="2" l="1"/>
  <c r="J27" i="2" s="1"/>
  <c r="J23" i="2" s="1"/>
  <c r="F20" i="2"/>
  <c r="F7" i="2"/>
  <c r="J30" i="2"/>
  <c r="K35" i="1"/>
  <c r="K36" i="1"/>
  <c r="J31" i="2" l="1"/>
  <c r="J22" i="2"/>
  <c r="J20" i="2"/>
  <c r="J28" i="2" s="1"/>
  <c r="F38" i="2"/>
  <c r="F39" i="2" s="1"/>
  <c r="J32" i="2"/>
  <c r="F30" i="1"/>
  <c r="F31" i="1" s="1"/>
  <c r="K37" i="1"/>
  <c r="F34" i="1" s="1"/>
  <c r="F18" i="2" l="1"/>
  <c r="F5" i="2"/>
  <c r="F14" i="2"/>
  <c r="F27" i="2"/>
  <c r="F5" i="1"/>
  <c r="F14" i="1" s="1"/>
  <c r="F19" i="1"/>
  <c r="F28" i="1" s="1"/>
  <c r="F43" i="2" l="1"/>
  <c r="F35" i="1"/>
</calcChain>
</file>

<file path=xl/sharedStrings.xml><?xml version="1.0" encoding="utf-8"?>
<sst xmlns="http://schemas.openxmlformats.org/spreadsheetml/2006/main" count="183" uniqueCount="90">
  <si>
    <t>Inkomst</t>
  </si>
  <si>
    <t>Lön efter skatt</t>
  </si>
  <si>
    <t>Fasta utgifter</t>
  </si>
  <si>
    <t>Boende (hyra/bolån)</t>
  </si>
  <si>
    <t>El/värme/vatten</t>
  </si>
  <si>
    <t>Bil (leasing, försäkring, bränsle)</t>
  </si>
  <si>
    <t>Lån (studielån)</t>
  </si>
  <si>
    <t>Telefon/internet</t>
  </si>
  <si>
    <t>Rörliga utgifter</t>
  </si>
  <si>
    <t>Mat</t>
  </si>
  <si>
    <t>Transport (SL-kort)</t>
  </si>
  <si>
    <t>Kläder/fritid</t>
  </si>
  <si>
    <t>Sammanställning</t>
  </si>
  <si>
    <t>Kvar att leva på</t>
  </si>
  <si>
    <t>Bo rta</t>
  </si>
  <si>
    <t>Amortering</t>
  </si>
  <si>
    <t>lån</t>
  </si>
  <si>
    <t>Rta / mån</t>
  </si>
  <si>
    <t>Amortering / mån</t>
  </si>
  <si>
    <t>Total kontantinsats inkl lagfart och pantbrev</t>
  </si>
  <si>
    <t>Total månadskostnad rta och amortering</t>
  </si>
  <si>
    <t>Anslutningsavgifter VA och el</t>
  </si>
  <si>
    <t>Totalt ränta och amortering</t>
  </si>
  <si>
    <t>Hemförsäkring villaförsäkring</t>
  </si>
  <si>
    <t>Kvar att leva på tillsammans</t>
  </si>
  <si>
    <t>Pris på huset inkl tomt, entreprenad och anslutningsavgift</t>
  </si>
  <si>
    <t>Pris tomt</t>
  </si>
  <si>
    <t>Total kostnad för en bil inkl leasing, försäkring och bränsle</t>
  </si>
  <si>
    <t>Lagfart</t>
  </si>
  <si>
    <t xml:space="preserve">Pantbrev </t>
  </si>
  <si>
    <t>Finplanering tom ingår ej</t>
  </si>
  <si>
    <t>Kontantinsats 10 %</t>
  </si>
  <si>
    <t>Vad innebär förändringarna?</t>
  </si>
  <si>
    <t>1 % amortering per år vid belåningsgrad 50–70 %.</t>
  </si>
  <si>
    <t>2 % amortering per år vid belåningsgrad över 70 %.</t>
  </si>
  <si>
    <t>De nya reglerna om bolånetak och amorteringskrav är föreslagna att träda i kraft den 1 april 2026, under förutsättning att riksdagen godkänner dem. [ekonomifokus.se], [seb.se], [lansforsakringar.se]</t>
  </si>
  <si>
    <t>Bolånetaket höjs från 85 % till 90 % av bostadens värde (kontantinsats minskar från 15 % till 10 %).</t>
  </si>
  <si>
    <t>Det skärpta amorteringskravet tas bort (extra 1 % för lån över 4,5 gånger årsinkomsten försvinner).</t>
  </si>
  <si>
    <t>Grundreglerna kvarstår:</t>
  </si>
  <si>
    <t>Tilläggslån begränsas till max 80 % av bostadens värde.</t>
  </si>
  <si>
    <t>Omvärdering för att öka låneutrymme får ske högst vart femte år.</t>
  </si>
  <si>
    <t>Nyckelfärdigt hus inkl schakt och grundläggningsarbeten</t>
  </si>
  <si>
    <t>Skattereduktion utsgaet per månad</t>
  </si>
  <si>
    <t>Skattereduktion på räntor under 100 000 kr är 30 %, över 100 000 kr är 21 % per person</t>
  </si>
  <si>
    <t>OBS! Formel för skattereduktion är beräknad på att det är två personer som uppbär lön för beskattning.</t>
  </si>
  <si>
    <t>Kolumn1</t>
  </si>
  <si>
    <t>Kolumn2</t>
  </si>
  <si>
    <t>Kolumn3</t>
  </si>
  <si>
    <t>Kolumn4</t>
  </si>
  <si>
    <t>Person 1</t>
  </si>
  <si>
    <t>Person 2</t>
  </si>
  <si>
    <t>De nya reglerna om bolånetak och amorteringskrav är föreslagna att träda i kraft den 1 april 2026, under förutsättning att riksdagen godkänner dem.</t>
  </si>
  <si>
    <t>Lön efter skatt / månad</t>
  </si>
  <si>
    <t>Kvar att leva på före skattereduktion</t>
  </si>
  <si>
    <t>Kvar att leva på tillsammans / månad</t>
  </si>
  <si>
    <t>Ränta / mån</t>
  </si>
  <si>
    <t>Total månadskostnad ränta och amortering</t>
  </si>
  <si>
    <t>Skattereduktion på räntor under 100 000 kr är 30 %, över 100 000 kr är 21 %. Gäller per person.</t>
  </si>
  <si>
    <t>Skattereduktion uttaget per månad.</t>
  </si>
  <si>
    <t>Bygglovskostnad</t>
  </si>
  <si>
    <t>Total kontantinsats inkl, lagfart och pantbrev</t>
  </si>
  <si>
    <t>Kontrollansvarig enligt PBL</t>
  </si>
  <si>
    <t>Ränta för bostadslån / år</t>
  </si>
  <si>
    <t>Amortering / år</t>
  </si>
  <si>
    <t>Kontantinsats 15 % (Fr.o.m 1 aprill 2026 gäller 10 %)</t>
  </si>
  <si>
    <t>Anslutningsavgifter VA, El och Fiber</t>
  </si>
  <si>
    <t>Färdigställandegaranti</t>
  </si>
  <si>
    <t>standardgrundläggning ingår ej.</t>
  </si>
  <si>
    <t>OBS! Finplanering av tomt samt grundläggningsåtgärder utöver</t>
  </si>
  <si>
    <t>min ålder</t>
  </si>
  <si>
    <t>max ålder</t>
  </si>
  <si>
    <t>kostnad</t>
  </si>
  <si>
    <t>antal barn</t>
  </si>
  <si>
    <t>Total kostnad</t>
  </si>
  <si>
    <t>Ålder på barn</t>
  </si>
  <si>
    <t>0-1</t>
  </si>
  <si>
    <t>6-10</t>
  </si>
  <si>
    <t>11-13</t>
  </si>
  <si>
    <t>Total kostnad för barn i hushållet</t>
  </si>
  <si>
    <t>14-17</t>
  </si>
  <si>
    <t>Kostnad / månad</t>
  </si>
  <si>
    <t>1-5</t>
  </si>
  <si>
    <t>Villa/hemförsäkring (0,2% av fastighetsvärde)</t>
  </si>
  <si>
    <t>Vuxen 1</t>
  </si>
  <si>
    <t>Vuxen 2</t>
  </si>
  <si>
    <t>Barn</t>
  </si>
  <si>
    <t>Bygglovskostnad brukar finnas beskrivet i respektive kommuns bygglovstaxa</t>
  </si>
  <si>
    <t>Nyckelfärdig carport/garage inkl schakt och grundläggningsarbeten</t>
  </si>
  <si>
    <t>Pris på huset inkl tomt, entreprenad, anslutningsavgift, kontroll och färdigställandegaranti</t>
  </si>
  <si>
    <t>Anslutningsavgift för vatten brukar finnas beskrivet i respektive kommuns VA-taxa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</si>
</sst>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_-;\-* #,##0_-;_-* &quot;-&quot;??_-;_-@_-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164" fontId="0" fillId="0" borderId="0" xfId="1" applyNumberFormat="1" applyFont="1"/>
    <xf numFmtId="0" fontId="0" fillId="2" borderId="0" xfId="0" applyFill="1"/>
    <xf numFmtId="164" fontId="0" fillId="2" borderId="0" xfId="1" applyNumberFormat="1" applyFont="1" applyFill="1"/>
    <xf numFmtId="164" fontId="2" fillId="2" borderId="0" xfId="0" applyNumberFormat="1" applyFont="1" applyFill="1"/>
    <xf numFmtId="164" fontId="0" fillId="2" borderId="0" xfId="0" applyNumberFormat="1" applyFill="1"/>
    <xf numFmtId="164" fontId="0" fillId="0" borderId="0" xfId="1" applyNumberFormat="1" applyFont="1" applyFill="1"/>
    <xf numFmtId="165" fontId="0" fillId="0" borderId="0" xfId="2" applyNumberFormat="1" applyFont="1" applyFill="1"/>
    <xf numFmtId="10" fontId="0" fillId="0" borderId="0" xfId="2" applyNumberFormat="1" applyFont="1" applyFill="1"/>
    <xf numFmtId="164" fontId="0" fillId="3" borderId="0" xfId="1" applyNumberFormat="1" applyFont="1" applyFill="1"/>
    <xf numFmtId="164" fontId="2" fillId="2" borderId="1" xfId="0" applyNumberFormat="1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2" fillId="2" borderId="5" xfId="0" applyFont="1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0" fillId="0" borderId="0" xfId="0" applyAlignment="1">
      <alignment horizontal="left" vertical="top"/>
    </xf>
    <xf numFmtId="0" fontId="0" fillId="2" borderId="5" xfId="0" applyFill="1" applyBorder="1"/>
    <xf numFmtId="164" fontId="0" fillId="2" borderId="17" xfId="1" applyNumberFormat="1" applyFont="1" applyFill="1" applyBorder="1"/>
    <xf numFmtId="164" fontId="0" fillId="2" borderId="1" xfId="1" applyNumberFormat="1" applyFont="1" applyFill="1" applyBorder="1"/>
    <xf numFmtId="164" fontId="0" fillId="2" borderId="16" xfId="1" applyNumberFormat="1" applyFont="1" applyFill="1" applyBorder="1"/>
    <xf numFmtId="164" fontId="0" fillId="2" borderId="18" xfId="1" applyNumberFormat="1" applyFont="1" applyFill="1" applyBorder="1"/>
    <xf numFmtId="164" fontId="2" fillId="2" borderId="1" xfId="1" applyNumberFormat="1" applyFont="1" applyFill="1" applyBorder="1"/>
    <xf numFmtId="0" fontId="0" fillId="2" borderId="8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7" xfId="0" applyFill="1" applyBorder="1"/>
    <xf numFmtId="0" fontId="0" fillId="2" borderId="9" xfId="0" applyFill="1" applyBorder="1"/>
    <xf numFmtId="164" fontId="0" fillId="2" borderId="0" xfId="1" applyNumberFormat="1" applyFont="1" applyFill="1" applyBorder="1"/>
    <xf numFmtId="0" fontId="0" fillId="2" borderId="9" xfId="0" applyFill="1" applyBorder="1" applyAlignment="1">
      <alignment horizontal="left" vertical="top"/>
    </xf>
    <xf numFmtId="0" fontId="0" fillId="2" borderId="12" xfId="0" applyFill="1" applyBorder="1"/>
    <xf numFmtId="0" fontId="2" fillId="2" borderId="8" xfId="0" applyFont="1" applyFill="1" applyBorder="1"/>
    <xf numFmtId="0" fontId="2" fillId="2" borderId="10" xfId="0" applyFont="1" applyFill="1" applyBorder="1"/>
    <xf numFmtId="164" fontId="0" fillId="2" borderId="16" xfId="1" applyNumberFormat="1" applyFont="1" applyFill="1" applyBorder="1" applyAlignment="1">
      <alignment vertical="top"/>
    </xf>
    <xf numFmtId="0" fontId="0" fillId="2" borderId="15" xfId="0" applyFill="1" applyBorder="1"/>
    <xf numFmtId="164" fontId="0" fillId="2" borderId="0" xfId="1" applyNumberFormat="1" applyFont="1" applyFill="1" applyBorder="1" applyAlignment="1">
      <alignment horizontal="left" vertical="top"/>
    </xf>
    <xf numFmtId="164" fontId="0" fillId="0" borderId="0" xfId="1" applyNumberFormat="1" applyFont="1" applyBorder="1"/>
    <xf numFmtId="0" fontId="0" fillId="2" borderId="15" xfId="0" applyFill="1" applyBorder="1" applyAlignment="1">
      <alignment horizontal="left" vertical="top" wrapText="1"/>
    </xf>
    <xf numFmtId="164" fontId="0" fillId="0" borderId="0" xfId="0" applyNumberFormat="1"/>
    <xf numFmtId="49" fontId="0" fillId="2" borderId="8" xfId="0" applyNumberFormat="1" applyFill="1" applyBorder="1"/>
    <xf numFmtId="164" fontId="0" fillId="2" borderId="15" xfId="1" applyNumberFormat="1" applyFont="1" applyFill="1" applyBorder="1"/>
    <xf numFmtId="0" fontId="0" fillId="2" borderId="1" xfId="0" applyFill="1" applyBorder="1"/>
    <xf numFmtId="0" fontId="0" fillId="2" borderId="17" xfId="0" applyFill="1" applyBorder="1"/>
    <xf numFmtId="164" fontId="0" fillId="3" borderId="17" xfId="1" applyNumberFormat="1" applyFont="1" applyFill="1" applyBorder="1"/>
    <xf numFmtId="3" fontId="0" fillId="2" borderId="17" xfId="3" applyNumberFormat="1" applyFont="1" applyFill="1" applyBorder="1" applyAlignment="1">
      <alignment horizontal="left" vertical="top"/>
    </xf>
    <xf numFmtId="3" fontId="0" fillId="2" borderId="18" xfId="3" applyNumberFormat="1" applyFont="1" applyFill="1" applyBorder="1" applyAlignment="1">
      <alignment horizontal="left" vertical="top"/>
    </xf>
    <xf numFmtId="164" fontId="0" fillId="2" borderId="9" xfId="1" applyNumberFormat="1" applyFont="1" applyFill="1" applyBorder="1"/>
    <xf numFmtId="164" fontId="0" fillId="2" borderId="12" xfId="1" applyNumberFormat="1" applyFont="1" applyFill="1" applyBorder="1"/>
    <xf numFmtId="0" fontId="4" fillId="2" borderId="13" xfId="0" applyFont="1" applyFill="1" applyBorder="1"/>
    <xf numFmtId="0" fontId="4" fillId="2" borderId="14" xfId="0" applyFont="1" applyFill="1" applyBorder="1"/>
    <xf numFmtId="164" fontId="4" fillId="2" borderId="1" xfId="1" applyNumberFormat="1" applyFont="1" applyFill="1" applyBorder="1"/>
    <xf numFmtId="0" fontId="0" fillId="2" borderId="8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13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64" fontId="0" fillId="3" borderId="12" xfId="1" applyNumberFormat="1" applyFont="1" applyFill="1" applyBorder="1"/>
    <xf numFmtId="164" fontId="0" fillId="3" borderId="15" xfId="1" applyNumberFormat="1" applyFont="1" applyFill="1" applyBorder="1"/>
    <xf numFmtId="164" fontId="0" fillId="3" borderId="7" xfId="1" applyNumberFormat="1" applyFont="1" applyFill="1" applyBorder="1"/>
    <xf numFmtId="10" fontId="0" fillId="3" borderId="1" xfId="2" applyNumberFormat="1" applyFont="1" applyFill="1" applyBorder="1"/>
    <xf numFmtId="10" fontId="0" fillId="3" borderId="18" xfId="2" applyNumberFormat="1" applyFont="1" applyFill="1" applyBorder="1"/>
  </cellXfs>
  <cellStyles count="4">
    <cellStyle name="Normal" xfId="0" builtinId="0"/>
    <cellStyle name="Procent" xfId="2" builtinId="5"/>
    <cellStyle name="Tusental" xfId="1" builtinId="3"/>
    <cellStyle name="Valuta" xfId="3" builtinId="4"/>
  </cellStyles>
  <dxfs count="6">
    <dxf>
      <numFmt numFmtId="164" formatCode="_-* #,##0_-;\-* #,##0_-;_-* &quot;-&quot;??_-;_-@_-"/>
      <fill>
        <patternFill>
          <fgColor indexed="64"/>
          <bgColor theme="4" tint="0.79998168889431442"/>
        </patternFill>
      </fill>
    </dxf>
    <dxf>
      <fill>
        <patternFill>
          <fgColor indexed="64"/>
          <bgColor theme="4" tint="0.79998168889431442"/>
        </patternFill>
      </fill>
    </dxf>
    <dxf>
      <fill>
        <patternFill>
          <fgColor indexed="64"/>
          <bgColor theme="4" tint="0.79998168889431442"/>
        </patternFill>
      </fill>
    </dxf>
    <dxf>
      <fill>
        <patternFill>
          <fgColor indexed="64"/>
          <bgColor theme="4" tint="0.79998168889431442"/>
        </patternFill>
      </fill>
    </dxf>
    <dxf>
      <fill>
        <patternFill>
          <fgColor indexed="64"/>
          <bgColor theme="4" tint="0.79998168889431442"/>
        </patternFill>
      </fill>
    </dxf>
    <dxf>
      <fill>
        <patternFill>
          <fgColor indexed="64"/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32</xdr:row>
      <xdr:rowOff>168275</xdr:rowOff>
    </xdr:from>
    <xdr:to>
      <xdr:col>10</xdr:col>
      <xdr:colOff>31234</xdr:colOff>
      <xdr:row>42</xdr:row>
      <xdr:rowOff>282575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FAF87FCE-186D-5ABE-8D7F-B60CEBA28B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42" b="16974"/>
        <a:stretch>
          <a:fillRect/>
        </a:stretch>
      </xdr:blipFill>
      <xdr:spPr bwMode="auto">
        <a:xfrm>
          <a:off x="6743700" y="5949950"/>
          <a:ext cx="6203434" cy="244157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KALPDetaljer" displayName="KALPDetaljer" ref="C2:F28" dataDxfId="5" totalsRowDxfId="4">
  <autoFilter ref="C2:F28" xr:uid="{00000000-0009-0000-0100-000001000000}"/>
  <tableColumns count="4">
    <tableColumn id="1" xr3:uid="{00000000-0010-0000-0000-000001000000}" name="Kolumn1" dataDxfId="3"/>
    <tableColumn id="2" xr3:uid="{00000000-0010-0000-0000-000002000000}" name="Kolumn2" dataDxfId="2"/>
    <tableColumn id="3" xr3:uid="{00000000-0010-0000-0000-000003000000}" name="Kolumn3" dataDxfId="1"/>
    <tableColumn id="4" xr3:uid="{00000000-0010-0000-0000-000004000000}" name="Kolumn4" dataDxfId="0" dataCellStyle="Tusental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2"/>
  <sheetViews>
    <sheetView showGridLines="0" workbookViewId="0">
      <selection activeCell="O39" sqref="O39"/>
    </sheetView>
  </sheetViews>
  <sheetFormatPr defaultRowHeight="14.5" x14ac:dyDescent="0.35"/>
  <cols>
    <col min="2" max="2" width="2.81640625" customWidth="1"/>
    <col min="3" max="3" width="35" customWidth="1"/>
    <col min="4" max="4" width="18" customWidth="1"/>
    <col min="5" max="5" width="36" customWidth="1"/>
    <col min="6" max="6" width="13" customWidth="1"/>
    <col min="7" max="7" width="3.6328125" customWidth="1"/>
    <col min="8" max="8" width="3.90625" customWidth="1"/>
    <col min="9" max="9" width="35.08984375" customWidth="1"/>
    <col min="10" max="10" width="16.6328125" customWidth="1"/>
    <col min="11" max="11" width="13.1796875" bestFit="1" customWidth="1"/>
    <col min="12" max="12" width="4.6328125" customWidth="1"/>
    <col min="13" max="13" width="10" bestFit="1" customWidth="1"/>
  </cols>
  <sheetData>
    <row r="2" spans="2:13" x14ac:dyDescent="0.35">
      <c r="C2" t="s">
        <v>45</v>
      </c>
      <c r="D2" t="s">
        <v>46</v>
      </c>
      <c r="E2" t="s">
        <v>47</v>
      </c>
      <c r="F2" t="s">
        <v>48</v>
      </c>
    </row>
    <row r="3" spans="2:13" x14ac:dyDescent="0.35">
      <c r="B3" s="2"/>
      <c r="C3" s="2" t="s">
        <v>49</v>
      </c>
      <c r="D3" s="2" t="s">
        <v>0</v>
      </c>
      <c r="E3" s="2" t="s">
        <v>1</v>
      </c>
      <c r="F3" s="9">
        <v>33000</v>
      </c>
      <c r="G3" s="2"/>
      <c r="H3" s="2"/>
      <c r="I3" s="2" t="s">
        <v>26</v>
      </c>
      <c r="J3" s="2"/>
      <c r="K3" s="6">
        <v>3000000</v>
      </c>
      <c r="L3" s="2"/>
      <c r="M3" s="1"/>
    </row>
    <row r="4" spans="2:13" x14ac:dyDescent="0.35">
      <c r="B4" s="2"/>
      <c r="C4" s="2"/>
      <c r="D4" s="2"/>
      <c r="E4" s="2"/>
      <c r="F4" s="3"/>
      <c r="G4" s="2"/>
      <c r="H4" s="2"/>
      <c r="I4" s="2" t="s">
        <v>41</v>
      </c>
      <c r="J4" s="2"/>
      <c r="K4" s="6">
        <v>3595000</v>
      </c>
      <c r="L4" s="2"/>
    </row>
    <row r="5" spans="2:13" x14ac:dyDescent="0.35">
      <c r="B5" s="2"/>
      <c r="C5" s="2"/>
      <c r="D5" s="2" t="s">
        <v>2</v>
      </c>
      <c r="E5" s="2" t="s">
        <v>3</v>
      </c>
      <c r="F5" s="3">
        <f>F34/2</f>
        <v>11991.35025</v>
      </c>
      <c r="G5" s="2"/>
      <c r="H5" s="2"/>
      <c r="I5" s="2" t="s">
        <v>30</v>
      </c>
      <c r="J5" s="2"/>
      <c r="K5" s="2"/>
      <c r="L5" s="2"/>
    </row>
    <row r="6" spans="2:13" x14ac:dyDescent="0.35">
      <c r="B6" s="2"/>
      <c r="C6" s="2"/>
      <c r="D6" s="2" t="s">
        <v>2</v>
      </c>
      <c r="E6" s="2" t="s">
        <v>4</v>
      </c>
      <c r="F6" s="9">
        <v>2500</v>
      </c>
      <c r="G6" s="2"/>
      <c r="H6" s="2"/>
      <c r="I6" s="2"/>
      <c r="J6" s="2"/>
      <c r="K6" s="2"/>
      <c r="L6" s="2"/>
    </row>
    <row r="7" spans="2:13" x14ac:dyDescent="0.35">
      <c r="B7" s="2"/>
      <c r="C7" s="2"/>
      <c r="D7" s="2" t="s">
        <v>2</v>
      </c>
      <c r="E7" s="2" t="s">
        <v>23</v>
      </c>
      <c r="F7" s="3">
        <f>2700+750</f>
        <v>3450</v>
      </c>
      <c r="G7" s="2"/>
      <c r="H7" s="2"/>
      <c r="I7" s="2" t="s">
        <v>21</v>
      </c>
      <c r="J7" s="2"/>
      <c r="K7" s="6">
        <v>281760</v>
      </c>
      <c r="L7" s="2"/>
    </row>
    <row r="8" spans="2:13" x14ac:dyDescent="0.35">
      <c r="B8" s="2"/>
      <c r="C8" s="2"/>
      <c r="D8" s="2" t="s">
        <v>2</v>
      </c>
      <c r="E8" s="2" t="s">
        <v>5</v>
      </c>
      <c r="F8" s="3">
        <f>F37/2</f>
        <v>3250</v>
      </c>
      <c r="G8" s="2"/>
      <c r="H8" s="2"/>
      <c r="I8" s="2" t="s">
        <v>25</v>
      </c>
      <c r="J8" s="2"/>
      <c r="K8" s="3">
        <f>K3+K4+K7</f>
        <v>6876760</v>
      </c>
      <c r="L8" s="2"/>
    </row>
    <row r="9" spans="2:13" x14ac:dyDescent="0.35">
      <c r="B9" s="2"/>
      <c r="C9" s="2"/>
      <c r="D9" s="2" t="s">
        <v>2</v>
      </c>
      <c r="E9" s="2" t="s">
        <v>6</v>
      </c>
      <c r="F9" s="9">
        <v>1000</v>
      </c>
      <c r="G9" s="2"/>
      <c r="H9" s="2"/>
      <c r="I9" s="2"/>
      <c r="J9" s="2"/>
      <c r="K9" s="3"/>
      <c r="L9" s="2"/>
    </row>
    <row r="10" spans="2:13" x14ac:dyDescent="0.35">
      <c r="B10" s="2"/>
      <c r="C10" s="2"/>
      <c r="D10" s="2" t="s">
        <v>2</v>
      </c>
      <c r="E10" s="2" t="s">
        <v>7</v>
      </c>
      <c r="F10" s="9">
        <v>700</v>
      </c>
      <c r="G10" s="2"/>
      <c r="H10" s="2"/>
      <c r="I10" s="2"/>
      <c r="J10" s="2"/>
      <c r="K10" s="3"/>
      <c r="L10" s="2"/>
    </row>
    <row r="11" spans="2:13" x14ac:dyDescent="0.35">
      <c r="B11" s="2"/>
      <c r="C11" s="2"/>
      <c r="D11" s="2" t="s">
        <v>8</v>
      </c>
      <c r="E11" s="2" t="s">
        <v>9</v>
      </c>
      <c r="F11" s="9">
        <v>5500</v>
      </c>
      <c r="G11" s="2"/>
      <c r="H11" s="2"/>
      <c r="I11" s="2"/>
      <c r="J11" s="2"/>
      <c r="K11" s="2"/>
      <c r="L11" s="2"/>
    </row>
    <row r="12" spans="2:13" x14ac:dyDescent="0.35">
      <c r="B12" s="2"/>
      <c r="C12" s="2"/>
      <c r="D12" s="2" t="s">
        <v>8</v>
      </c>
      <c r="E12" s="2" t="s">
        <v>10</v>
      </c>
      <c r="F12" s="9">
        <v>970</v>
      </c>
      <c r="G12" s="2"/>
      <c r="H12" s="2"/>
      <c r="I12" s="2"/>
      <c r="J12" s="2"/>
      <c r="K12" s="2"/>
      <c r="L12" s="2"/>
    </row>
    <row r="13" spans="2:13" x14ac:dyDescent="0.35">
      <c r="B13" s="2"/>
      <c r="C13" s="2"/>
      <c r="D13" s="2" t="s">
        <v>8</v>
      </c>
      <c r="E13" s="2" t="s">
        <v>11</v>
      </c>
      <c r="F13" s="9">
        <v>2000</v>
      </c>
      <c r="G13" s="2"/>
      <c r="H13" s="2"/>
      <c r="I13" s="2" t="s">
        <v>28</v>
      </c>
      <c r="J13" s="7">
        <v>1.4999999999999999E-2</v>
      </c>
      <c r="K13" s="3">
        <f>K3*J13</f>
        <v>45000</v>
      </c>
      <c r="L13" s="2"/>
    </row>
    <row r="14" spans="2:13" x14ac:dyDescent="0.35">
      <c r="B14" s="2"/>
      <c r="C14" s="2"/>
      <c r="D14" s="2" t="s">
        <v>12</v>
      </c>
      <c r="E14" s="2" t="s">
        <v>13</v>
      </c>
      <c r="F14" s="3">
        <f>F3-SUM(F5:F13)</f>
        <v>1638.6497500000005</v>
      </c>
      <c r="G14" s="2"/>
      <c r="H14" s="2"/>
      <c r="I14" s="2" t="s">
        <v>29</v>
      </c>
      <c r="J14" s="7">
        <v>0.02</v>
      </c>
      <c r="K14" s="3">
        <f>K27*J14</f>
        <v>123781.68000000001</v>
      </c>
      <c r="L14" s="2"/>
    </row>
    <row r="15" spans="2:13" x14ac:dyDescent="0.35"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</row>
    <row r="16" spans="2:13" x14ac:dyDescent="0.35"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</row>
    <row r="17" spans="2:12" x14ac:dyDescent="0.35">
      <c r="B17" s="2"/>
      <c r="C17" s="2" t="s">
        <v>50</v>
      </c>
      <c r="D17" s="2" t="s">
        <v>0</v>
      </c>
      <c r="E17" s="2" t="s">
        <v>1</v>
      </c>
      <c r="F17" s="9">
        <v>33000</v>
      </c>
      <c r="G17" s="2"/>
      <c r="H17" s="2"/>
      <c r="I17" s="2"/>
      <c r="J17" s="2"/>
      <c r="K17" s="2"/>
      <c r="L17" s="2"/>
    </row>
    <row r="18" spans="2:12" x14ac:dyDescent="0.35">
      <c r="B18" s="2"/>
      <c r="C18" s="2"/>
      <c r="D18" s="2"/>
      <c r="E18" s="2"/>
      <c r="F18" s="3"/>
      <c r="G18" s="2"/>
      <c r="H18" s="2"/>
      <c r="I18" s="2"/>
      <c r="J18" s="2"/>
      <c r="K18" s="2"/>
      <c r="L18" s="2"/>
    </row>
    <row r="19" spans="2:12" x14ac:dyDescent="0.35">
      <c r="B19" s="2"/>
      <c r="C19" s="2"/>
      <c r="D19" s="2" t="s">
        <v>2</v>
      </c>
      <c r="E19" s="2" t="s">
        <v>3</v>
      </c>
      <c r="F19" s="3">
        <f>F34/2</f>
        <v>11991.35025</v>
      </c>
      <c r="G19" s="2"/>
      <c r="H19" s="2"/>
      <c r="I19" s="2"/>
      <c r="J19" s="2"/>
      <c r="K19" s="2"/>
      <c r="L19" s="2"/>
    </row>
    <row r="20" spans="2:12" x14ac:dyDescent="0.35">
      <c r="B20" s="2"/>
      <c r="C20" s="2"/>
      <c r="D20" s="2" t="s">
        <v>2</v>
      </c>
      <c r="E20" s="2" t="s">
        <v>4</v>
      </c>
      <c r="F20" s="9">
        <v>2500</v>
      </c>
      <c r="G20" s="2"/>
      <c r="H20" s="2"/>
      <c r="I20" s="2"/>
      <c r="J20" s="2"/>
      <c r="K20" s="2"/>
      <c r="L20" s="2"/>
    </row>
    <row r="21" spans="2:12" x14ac:dyDescent="0.35">
      <c r="B21" s="2"/>
      <c r="C21" s="2"/>
      <c r="D21" s="2" t="s">
        <v>2</v>
      </c>
      <c r="E21" s="2" t="s">
        <v>23</v>
      </c>
      <c r="F21" s="3">
        <f>2700+750</f>
        <v>3450</v>
      </c>
      <c r="G21" s="2"/>
      <c r="H21" s="2"/>
      <c r="I21" s="2"/>
      <c r="J21" s="2"/>
      <c r="K21" s="2"/>
      <c r="L21" s="2"/>
    </row>
    <row r="22" spans="2:12" x14ac:dyDescent="0.35">
      <c r="B22" s="2"/>
      <c r="C22" s="2"/>
      <c r="D22" s="2" t="s">
        <v>2</v>
      </c>
      <c r="E22" s="2" t="s">
        <v>5</v>
      </c>
      <c r="F22" s="3">
        <f>F37/2</f>
        <v>3250</v>
      </c>
      <c r="G22" s="2"/>
      <c r="H22" s="2"/>
      <c r="I22" s="2"/>
      <c r="J22" s="2"/>
      <c r="K22" s="2"/>
      <c r="L22" s="2"/>
    </row>
    <row r="23" spans="2:12" x14ac:dyDescent="0.35">
      <c r="B23" s="2"/>
      <c r="C23" s="2"/>
      <c r="D23" s="2" t="s">
        <v>2</v>
      </c>
      <c r="E23" s="2" t="s">
        <v>6</v>
      </c>
      <c r="F23" s="9">
        <v>1000</v>
      </c>
      <c r="G23" s="2"/>
      <c r="H23" s="2"/>
      <c r="I23" s="2"/>
      <c r="J23" s="2"/>
      <c r="K23" s="2"/>
      <c r="L23" s="2"/>
    </row>
    <row r="24" spans="2:12" x14ac:dyDescent="0.35">
      <c r="B24" s="2"/>
      <c r="C24" s="2"/>
      <c r="D24" s="2" t="s">
        <v>2</v>
      </c>
      <c r="E24" s="2" t="s">
        <v>7</v>
      </c>
      <c r="F24" s="9">
        <v>700</v>
      </c>
      <c r="G24" s="2"/>
      <c r="H24" s="2"/>
      <c r="I24" s="2" t="s">
        <v>14</v>
      </c>
      <c r="J24" s="2"/>
      <c r="K24" s="8">
        <v>2.6499999999999999E-2</v>
      </c>
      <c r="L24" s="2"/>
    </row>
    <row r="25" spans="2:12" x14ac:dyDescent="0.35">
      <c r="B25" s="2"/>
      <c r="C25" s="2"/>
      <c r="D25" s="2" t="s">
        <v>8</v>
      </c>
      <c r="E25" s="2" t="s">
        <v>9</v>
      </c>
      <c r="F25" s="9">
        <v>5500</v>
      </c>
      <c r="G25" s="2"/>
      <c r="H25" s="2"/>
      <c r="I25" s="2" t="s">
        <v>15</v>
      </c>
      <c r="J25" s="2"/>
      <c r="K25" s="8">
        <v>0.02</v>
      </c>
      <c r="L25" s="2"/>
    </row>
    <row r="26" spans="2:12" x14ac:dyDescent="0.35">
      <c r="B26" s="2"/>
      <c r="C26" s="2"/>
      <c r="D26" s="2" t="s">
        <v>8</v>
      </c>
      <c r="E26" s="2" t="s">
        <v>10</v>
      </c>
      <c r="F26" s="9">
        <v>970</v>
      </c>
      <c r="G26" s="2"/>
      <c r="H26" s="2"/>
      <c r="I26" s="2" t="s">
        <v>31</v>
      </c>
      <c r="J26" s="2"/>
      <c r="K26" s="3">
        <f>K8*0.1</f>
        <v>687676</v>
      </c>
      <c r="L26" s="2"/>
    </row>
    <row r="27" spans="2:12" x14ac:dyDescent="0.35">
      <c r="B27" s="2"/>
      <c r="C27" s="2"/>
      <c r="D27" s="2" t="s">
        <v>8</v>
      </c>
      <c r="E27" s="2" t="s">
        <v>11</v>
      </c>
      <c r="F27" s="9">
        <v>2000</v>
      </c>
      <c r="G27" s="2"/>
      <c r="H27" s="2"/>
      <c r="I27" s="2" t="s">
        <v>16</v>
      </c>
      <c r="J27" s="2"/>
      <c r="K27" s="3">
        <f>K8-K26</f>
        <v>6189084</v>
      </c>
      <c r="L27" s="2"/>
    </row>
    <row r="28" spans="2:12" x14ac:dyDescent="0.35">
      <c r="B28" s="2"/>
      <c r="C28" s="2"/>
      <c r="D28" s="2" t="s">
        <v>12</v>
      </c>
      <c r="E28" s="2" t="s">
        <v>13</v>
      </c>
      <c r="F28" s="3">
        <f>F17-SUM(F19:F27)</f>
        <v>1638.6497500000005</v>
      </c>
      <c r="G28" s="2"/>
      <c r="H28" s="2"/>
      <c r="I28" s="2"/>
      <c r="J28" s="2"/>
      <c r="K28" s="2"/>
      <c r="L28" s="2"/>
    </row>
    <row r="29" spans="2:12" x14ac:dyDescent="0.35">
      <c r="B29" s="2"/>
      <c r="C29" s="2"/>
      <c r="D29" s="2"/>
      <c r="E29" s="2"/>
      <c r="F29" s="2"/>
      <c r="G29" s="2"/>
      <c r="H29" s="2"/>
      <c r="I29" s="2" t="s">
        <v>19</v>
      </c>
      <c r="J29" s="2"/>
      <c r="K29" s="4">
        <f>K26+K13+K14</f>
        <v>856457.68</v>
      </c>
      <c r="L29" s="2"/>
    </row>
    <row r="30" spans="2:12" x14ac:dyDescent="0.35">
      <c r="B30" s="2"/>
      <c r="C30" s="2" t="s">
        <v>43</v>
      </c>
      <c r="D30" s="2"/>
      <c r="E30" s="2"/>
      <c r="F30" s="3">
        <f>IF(OR((K35*12)="",(K35*12)*(K35*12)&lt;=0),0,MIN((K35*12),200000)*0.3+MAX((K35*12)-200000,0)*0.21)</f>
        <v>49203.217799999999</v>
      </c>
      <c r="G30" s="2"/>
      <c r="H30" s="2"/>
      <c r="I30" s="2"/>
      <c r="J30" s="2"/>
      <c r="K30" s="4"/>
      <c r="L30" s="2"/>
    </row>
    <row r="31" spans="2:12" x14ac:dyDescent="0.35">
      <c r="B31" s="2"/>
      <c r="C31" s="2" t="s">
        <v>42</v>
      </c>
      <c r="D31" s="2"/>
      <c r="E31" s="2"/>
      <c r="F31" s="5">
        <f>F30/12</f>
        <v>4100.2681499999999</v>
      </c>
      <c r="G31" s="2"/>
      <c r="H31" s="2"/>
      <c r="I31" s="2"/>
      <c r="J31" s="2"/>
      <c r="K31" s="4"/>
      <c r="L31" s="2"/>
    </row>
    <row r="32" spans="2:12" x14ac:dyDescent="0.35">
      <c r="B32" s="2"/>
      <c r="C32" s="2" t="s">
        <v>44</v>
      </c>
      <c r="D32" s="2"/>
      <c r="E32" s="2"/>
      <c r="F32" s="5"/>
      <c r="G32" s="2"/>
      <c r="H32" s="2"/>
      <c r="I32" s="2"/>
      <c r="J32" s="2"/>
      <c r="K32" s="4"/>
      <c r="L32" s="2"/>
    </row>
    <row r="33" spans="2:12" x14ac:dyDescent="0.3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 x14ac:dyDescent="0.35">
      <c r="B34" s="2"/>
      <c r="C34" s="2" t="s">
        <v>22</v>
      </c>
      <c r="D34" s="2"/>
      <c r="E34" s="2"/>
      <c r="F34" s="5">
        <f>K37</f>
        <v>23982.700499999999</v>
      </c>
      <c r="G34" s="2"/>
      <c r="H34" s="2"/>
      <c r="I34" s="2"/>
      <c r="J34" s="2"/>
      <c r="K34" s="2"/>
      <c r="L34" s="2"/>
    </row>
    <row r="35" spans="2:12" x14ac:dyDescent="0.35">
      <c r="B35" s="2"/>
      <c r="C35" s="2" t="s">
        <v>24</v>
      </c>
      <c r="D35" s="2"/>
      <c r="E35" s="2"/>
      <c r="F35" s="10">
        <f>F14+F28+F31</f>
        <v>7377.5676500000009</v>
      </c>
      <c r="G35" s="2"/>
      <c r="H35" s="2"/>
      <c r="I35" s="2" t="s">
        <v>17</v>
      </c>
      <c r="J35" s="2"/>
      <c r="K35" s="3">
        <f>(K27*K24)/12</f>
        <v>13667.5605</v>
      </c>
      <c r="L35" s="2"/>
    </row>
    <row r="36" spans="2:12" x14ac:dyDescent="0.35">
      <c r="B36" s="2"/>
      <c r="C36" s="2"/>
      <c r="D36" s="2"/>
      <c r="E36" s="2"/>
      <c r="F36" s="2"/>
      <c r="G36" s="2"/>
      <c r="H36" s="2"/>
      <c r="I36" s="2" t="s">
        <v>18</v>
      </c>
      <c r="J36" s="2"/>
      <c r="K36" s="3">
        <f>(K27*K25)/12</f>
        <v>10315.140000000001</v>
      </c>
      <c r="L36" s="2"/>
    </row>
    <row r="37" spans="2:12" x14ac:dyDescent="0.35">
      <c r="B37" s="2"/>
      <c r="C37" s="2" t="s">
        <v>27</v>
      </c>
      <c r="D37" s="2"/>
      <c r="E37" s="2"/>
      <c r="F37" s="9">
        <v>6500</v>
      </c>
      <c r="G37" s="2"/>
      <c r="H37" s="2"/>
      <c r="I37" s="2" t="s">
        <v>20</v>
      </c>
      <c r="J37" s="2"/>
      <c r="K37" s="5">
        <f>SUM(K35+K36)</f>
        <v>23982.700499999999</v>
      </c>
      <c r="L37" s="2"/>
    </row>
    <row r="38" spans="2:12" x14ac:dyDescent="0.3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44" spans="2:12" x14ac:dyDescent="0.35">
      <c r="C44" t="s">
        <v>35</v>
      </c>
    </row>
    <row r="46" spans="2:12" x14ac:dyDescent="0.35">
      <c r="C46" t="s">
        <v>32</v>
      </c>
    </row>
    <row r="48" spans="2:12" x14ac:dyDescent="0.35">
      <c r="C48" t="s">
        <v>36</v>
      </c>
    </row>
    <row r="49" spans="2:12" x14ac:dyDescent="0.35">
      <c r="C49" t="s">
        <v>37</v>
      </c>
    </row>
    <row r="50" spans="2:12" x14ac:dyDescent="0.35">
      <c r="C50" t="s">
        <v>38</v>
      </c>
    </row>
    <row r="51" spans="2:12" x14ac:dyDescent="0.35">
      <c r="C51" t="s">
        <v>33</v>
      </c>
    </row>
    <row r="52" spans="2:12" x14ac:dyDescent="0.35">
      <c r="C52" t="s">
        <v>34</v>
      </c>
    </row>
    <row r="53" spans="2:12" x14ac:dyDescent="0.35">
      <c r="C53" t="s">
        <v>39</v>
      </c>
    </row>
    <row r="54" spans="2:12" x14ac:dyDescent="0.35">
      <c r="C54" t="s">
        <v>40</v>
      </c>
    </row>
    <row r="59" spans="2:12" x14ac:dyDescent="0.35">
      <c r="B59" s="2"/>
      <c r="C59" s="2" t="s">
        <v>45</v>
      </c>
      <c r="D59" s="2" t="s">
        <v>46</v>
      </c>
      <c r="E59" s="2" t="s">
        <v>47</v>
      </c>
      <c r="F59" s="2" t="s">
        <v>48</v>
      </c>
      <c r="G59" s="2"/>
      <c r="H59" s="2"/>
      <c r="I59" s="2"/>
      <c r="J59" s="2"/>
      <c r="K59" s="2"/>
      <c r="L59" s="2"/>
    </row>
    <row r="61" spans="2:12" ht="15" thickBot="1" x14ac:dyDescent="0.4">
      <c r="C61" s="11" t="s">
        <v>45</v>
      </c>
      <c r="D61" s="12" t="s">
        <v>46</v>
      </c>
      <c r="E61" s="12" t="s">
        <v>47</v>
      </c>
      <c r="F61" s="13" t="s">
        <v>48</v>
      </c>
    </row>
    <row r="62" spans="2:12" ht="15" thickTop="1" x14ac:dyDescent="0.35"/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9151A-4A32-44CB-B79B-52B6DB623B64}">
  <dimension ref="B2:R57"/>
  <sheetViews>
    <sheetView tabSelected="1" workbookViewId="0">
      <selection activeCell="I25" sqref="I25"/>
    </sheetView>
  </sheetViews>
  <sheetFormatPr defaultRowHeight="14.5" x14ac:dyDescent="0.35"/>
  <cols>
    <col min="2" max="2" width="3.08984375" customWidth="1"/>
    <col min="4" max="4" width="15.54296875" bestFit="1" customWidth="1"/>
    <col min="5" max="5" width="39.81640625" customWidth="1"/>
    <col min="6" max="6" width="11.81640625" bestFit="1" customWidth="1"/>
    <col min="8" max="8" width="70.453125" customWidth="1"/>
    <col min="9" max="9" width="6.81640625" bestFit="1" customWidth="1"/>
    <col min="10" max="10" width="11" bestFit="1" customWidth="1"/>
    <col min="11" max="11" width="3.81640625" customWidth="1"/>
  </cols>
  <sheetData>
    <row r="2" spans="2:11" x14ac:dyDescent="0.35">
      <c r="B2" s="24"/>
      <c r="C2" s="15"/>
      <c r="D2" s="15"/>
      <c r="E2" s="15"/>
      <c r="F2" s="15"/>
      <c r="G2" s="15"/>
      <c r="H2" s="15"/>
      <c r="I2" s="15"/>
      <c r="J2" s="15"/>
      <c r="K2" s="32"/>
    </row>
    <row r="3" spans="2:11" x14ac:dyDescent="0.35">
      <c r="B3" s="16"/>
      <c r="C3" s="21" t="s">
        <v>83</v>
      </c>
      <c r="D3" s="47" t="s">
        <v>0</v>
      </c>
      <c r="E3" s="40" t="s">
        <v>52</v>
      </c>
      <c r="F3" s="62">
        <v>33000</v>
      </c>
      <c r="G3" s="2"/>
      <c r="H3" s="14" t="s">
        <v>26</v>
      </c>
      <c r="I3" s="15"/>
      <c r="J3" s="62">
        <v>2500000</v>
      </c>
      <c r="K3" s="33"/>
    </row>
    <row r="4" spans="2:11" x14ac:dyDescent="0.35">
      <c r="B4" s="16"/>
      <c r="C4" s="16"/>
      <c r="D4" s="48"/>
      <c r="E4" s="2"/>
      <c r="F4" s="25"/>
      <c r="G4" s="2"/>
      <c r="H4" s="37" t="s">
        <v>41</v>
      </c>
      <c r="I4" s="2"/>
      <c r="J4" s="62">
        <v>3695000</v>
      </c>
      <c r="K4" s="33"/>
    </row>
    <row r="5" spans="2:11" x14ac:dyDescent="0.35">
      <c r="B5" s="16"/>
      <c r="C5" s="16"/>
      <c r="D5" s="48" t="s">
        <v>2</v>
      </c>
      <c r="E5" s="2" t="s">
        <v>3</v>
      </c>
      <c r="F5" s="25">
        <f>J32/2</f>
        <v>11436.183843750001</v>
      </c>
      <c r="G5" s="2"/>
      <c r="H5" s="37" t="s">
        <v>87</v>
      </c>
      <c r="I5" s="2"/>
      <c r="J5" s="62">
        <v>0</v>
      </c>
      <c r="K5" s="33"/>
    </row>
    <row r="6" spans="2:11" ht="13.5" customHeight="1" x14ac:dyDescent="0.35">
      <c r="B6" s="16"/>
      <c r="C6" s="16"/>
      <c r="D6" s="48" t="s">
        <v>2</v>
      </c>
      <c r="E6" s="2" t="s">
        <v>4</v>
      </c>
      <c r="F6" s="62">
        <v>2500</v>
      </c>
      <c r="G6" s="2"/>
      <c r="H6" s="57" t="s">
        <v>68</v>
      </c>
      <c r="I6" s="58"/>
      <c r="J6" s="52"/>
      <c r="K6" s="33"/>
    </row>
    <row r="7" spans="2:11" x14ac:dyDescent="0.35">
      <c r="B7" s="16"/>
      <c r="C7" s="16"/>
      <c r="D7" s="48" t="s">
        <v>2</v>
      </c>
      <c r="E7" s="2" t="s">
        <v>82</v>
      </c>
      <c r="F7" s="26">
        <f>((J17*0.002)/2)/12</f>
        <v>546.53208333333339</v>
      </c>
      <c r="G7" s="2"/>
      <c r="H7" s="17" t="s">
        <v>67</v>
      </c>
      <c r="I7" s="18"/>
      <c r="J7" s="53"/>
      <c r="K7" s="33"/>
    </row>
    <row r="8" spans="2:11" x14ac:dyDescent="0.35">
      <c r="B8" s="16"/>
      <c r="C8" s="16"/>
      <c r="D8" s="48" t="s">
        <v>2</v>
      </c>
      <c r="E8" s="2" t="s">
        <v>5</v>
      </c>
      <c r="F8" s="49">
        <v>7000</v>
      </c>
      <c r="G8" s="2"/>
      <c r="H8" s="2"/>
      <c r="I8" s="2"/>
      <c r="J8" s="2"/>
      <c r="K8" s="33"/>
    </row>
    <row r="9" spans="2:11" x14ac:dyDescent="0.35">
      <c r="B9" s="16"/>
      <c r="C9" s="16"/>
      <c r="D9" s="48" t="s">
        <v>2</v>
      </c>
      <c r="E9" s="2" t="s">
        <v>6</v>
      </c>
      <c r="F9" s="62">
        <v>1000</v>
      </c>
      <c r="G9" s="2"/>
      <c r="H9" s="14" t="s">
        <v>65</v>
      </c>
      <c r="I9" s="15"/>
      <c r="J9" s="62">
        <f>281760+16000</f>
        <v>297760</v>
      </c>
      <c r="K9" s="33"/>
    </row>
    <row r="10" spans="2:11" x14ac:dyDescent="0.35">
      <c r="B10" s="16"/>
      <c r="C10" s="16"/>
      <c r="D10" s="48" t="s">
        <v>2</v>
      </c>
      <c r="E10" s="2" t="s">
        <v>7</v>
      </c>
      <c r="F10" s="62">
        <v>700</v>
      </c>
      <c r="G10" s="2"/>
      <c r="H10" s="17" t="s">
        <v>89</v>
      </c>
      <c r="I10" s="18"/>
      <c r="J10" s="36"/>
      <c r="K10" s="33"/>
    </row>
    <row r="11" spans="2:11" x14ac:dyDescent="0.35">
      <c r="B11" s="16"/>
      <c r="C11" s="16"/>
      <c r="D11" s="48" t="s">
        <v>8</v>
      </c>
      <c r="E11" s="2" t="s">
        <v>9</v>
      </c>
      <c r="F11" s="49">
        <v>5500</v>
      </c>
      <c r="G11" s="2"/>
      <c r="H11" s="14" t="s">
        <v>59</v>
      </c>
      <c r="I11" s="15"/>
      <c r="J11" s="62">
        <v>37625</v>
      </c>
      <c r="K11" s="33"/>
    </row>
    <row r="12" spans="2:11" x14ac:dyDescent="0.35">
      <c r="B12" s="16"/>
      <c r="C12" s="16"/>
      <c r="D12" s="48" t="s">
        <v>8</v>
      </c>
      <c r="E12" s="2" t="s">
        <v>10</v>
      </c>
      <c r="F12" s="62">
        <v>970</v>
      </c>
      <c r="G12" s="2"/>
      <c r="H12" s="17" t="s">
        <v>86</v>
      </c>
      <c r="I12" s="18"/>
      <c r="J12" s="36"/>
      <c r="K12" s="33"/>
    </row>
    <row r="13" spans="2:11" x14ac:dyDescent="0.35">
      <c r="B13" s="16"/>
      <c r="C13" s="16"/>
      <c r="D13" s="48" t="s">
        <v>8</v>
      </c>
      <c r="E13" s="2" t="s">
        <v>11</v>
      </c>
      <c r="F13" s="49">
        <v>2000</v>
      </c>
      <c r="G13" s="2"/>
      <c r="H13" s="2"/>
      <c r="I13" s="2"/>
      <c r="J13" s="2"/>
      <c r="K13" s="33"/>
    </row>
    <row r="14" spans="2:11" x14ac:dyDescent="0.35">
      <c r="B14" s="16"/>
      <c r="C14" s="19"/>
      <c r="D14" s="47" t="s">
        <v>12</v>
      </c>
      <c r="E14" s="20" t="s">
        <v>53</v>
      </c>
      <c r="F14" s="26">
        <f>F3-SUM(F5:F13)</f>
        <v>1347.2840729166637</v>
      </c>
      <c r="G14" s="2"/>
      <c r="H14" s="21" t="s">
        <v>61</v>
      </c>
      <c r="I14" s="20"/>
      <c r="J14" s="62">
        <v>20000</v>
      </c>
      <c r="K14" s="33"/>
    </row>
    <row r="15" spans="2:11" x14ac:dyDescent="0.35">
      <c r="B15" s="16"/>
      <c r="C15" s="2"/>
      <c r="D15" s="2"/>
      <c r="E15" s="2"/>
      <c r="F15" s="34"/>
      <c r="G15" s="2"/>
      <c r="H15" s="21" t="s">
        <v>66</v>
      </c>
      <c r="I15" s="20"/>
      <c r="J15" s="62">
        <v>8000</v>
      </c>
      <c r="K15" s="33"/>
    </row>
    <row r="16" spans="2:11" x14ac:dyDescent="0.35">
      <c r="B16" s="16"/>
      <c r="C16" s="21" t="s">
        <v>84</v>
      </c>
      <c r="D16" s="47" t="s">
        <v>0</v>
      </c>
      <c r="E16" s="20" t="s">
        <v>52</v>
      </c>
      <c r="F16" s="62">
        <v>33000</v>
      </c>
      <c r="G16" s="2"/>
      <c r="H16" s="2"/>
      <c r="I16" s="2"/>
      <c r="J16" s="34"/>
      <c r="K16" s="33"/>
    </row>
    <row r="17" spans="2:18" x14ac:dyDescent="0.35">
      <c r="B17" s="16"/>
      <c r="C17" s="16"/>
      <c r="D17" s="48"/>
      <c r="E17" s="2"/>
      <c r="F17" s="25"/>
      <c r="G17" s="2"/>
      <c r="H17" s="21" t="s">
        <v>88</v>
      </c>
      <c r="I17" s="20"/>
      <c r="J17" s="29">
        <f>J3+J4+J5+J9+J11+J14+J15</f>
        <v>6558385</v>
      </c>
      <c r="K17" s="33"/>
    </row>
    <row r="18" spans="2:18" x14ac:dyDescent="0.35">
      <c r="B18" s="16"/>
      <c r="C18" s="16"/>
      <c r="D18" s="48" t="s">
        <v>2</v>
      </c>
      <c r="E18" s="2" t="s">
        <v>3</v>
      </c>
      <c r="F18" s="25">
        <f>J32/2</f>
        <v>11436.183843750001</v>
      </c>
      <c r="G18" s="2"/>
      <c r="H18" s="2"/>
      <c r="I18" s="2"/>
      <c r="J18" s="2"/>
      <c r="K18" s="33"/>
    </row>
    <row r="19" spans="2:18" x14ac:dyDescent="0.35">
      <c r="B19" s="16"/>
      <c r="C19" s="16"/>
      <c r="D19" s="48" t="s">
        <v>2</v>
      </c>
      <c r="E19" s="2" t="s">
        <v>4</v>
      </c>
      <c r="F19" s="62">
        <v>2500</v>
      </c>
      <c r="G19" s="2"/>
      <c r="H19" s="21" t="s">
        <v>28</v>
      </c>
      <c r="I19" s="66">
        <v>1.4999999999999999E-2</v>
      </c>
      <c r="J19" s="26">
        <f>J3*I19</f>
        <v>37500</v>
      </c>
      <c r="K19" s="33"/>
    </row>
    <row r="20" spans="2:18" x14ac:dyDescent="0.35">
      <c r="B20" s="16"/>
      <c r="C20" s="16"/>
      <c r="D20" s="48" t="s">
        <v>2</v>
      </c>
      <c r="E20" s="2" t="s">
        <v>82</v>
      </c>
      <c r="F20" s="26">
        <f>((J17*0.002)/2)/12</f>
        <v>546.53208333333339</v>
      </c>
      <c r="G20" s="2"/>
      <c r="H20" s="38" t="s">
        <v>29</v>
      </c>
      <c r="I20" s="67">
        <v>0.02</v>
      </c>
      <c r="J20" s="28">
        <f>J27*I20</f>
        <v>118050.93000000001</v>
      </c>
      <c r="K20" s="33"/>
      <c r="R20" s="42"/>
    </row>
    <row r="21" spans="2:18" x14ac:dyDescent="0.35">
      <c r="B21" s="16"/>
      <c r="C21" s="16"/>
      <c r="D21" s="48" t="s">
        <v>2</v>
      </c>
      <c r="E21" s="2" t="s">
        <v>5</v>
      </c>
      <c r="F21" s="49">
        <v>0</v>
      </c>
      <c r="G21" s="2"/>
      <c r="H21" s="2"/>
      <c r="I21" s="2"/>
      <c r="J21" s="2"/>
      <c r="K21" s="33"/>
      <c r="R21" s="42"/>
    </row>
    <row r="22" spans="2:18" x14ac:dyDescent="0.35">
      <c r="B22" s="16"/>
      <c r="C22" s="16"/>
      <c r="D22" s="48" t="s">
        <v>2</v>
      </c>
      <c r="E22" s="2" t="s">
        <v>6</v>
      </c>
      <c r="F22" s="62">
        <v>1000</v>
      </c>
      <c r="G22" s="2"/>
      <c r="H22" s="21" t="s">
        <v>62</v>
      </c>
      <c r="I22" s="66">
        <v>2.6499999999999999E-2</v>
      </c>
      <c r="J22" s="26">
        <f>I22*J27</f>
        <v>156417.48225</v>
      </c>
      <c r="K22" s="33"/>
    </row>
    <row r="23" spans="2:18" x14ac:dyDescent="0.35">
      <c r="B23" s="16"/>
      <c r="C23" s="16"/>
      <c r="D23" s="48" t="s">
        <v>2</v>
      </c>
      <c r="E23" s="2" t="s">
        <v>7</v>
      </c>
      <c r="F23" s="49">
        <v>700</v>
      </c>
      <c r="G23" s="2"/>
      <c r="H23" s="38" t="s">
        <v>63</v>
      </c>
      <c r="I23" s="67">
        <v>0.02</v>
      </c>
      <c r="J23" s="28">
        <f>I23*J27</f>
        <v>118050.93000000001</v>
      </c>
      <c r="K23" s="33"/>
    </row>
    <row r="24" spans="2:18" x14ac:dyDescent="0.35">
      <c r="B24" s="16"/>
      <c r="C24" s="16"/>
      <c r="D24" s="48" t="s">
        <v>8</v>
      </c>
      <c r="E24" s="2" t="s">
        <v>9</v>
      </c>
      <c r="F24" s="62">
        <v>5500</v>
      </c>
      <c r="G24" s="2"/>
      <c r="H24" s="2"/>
      <c r="I24" s="2"/>
      <c r="J24" s="2"/>
      <c r="K24" s="33"/>
    </row>
    <row r="25" spans="2:18" x14ac:dyDescent="0.35">
      <c r="B25" s="16"/>
      <c r="C25" s="16"/>
      <c r="D25" s="48" t="s">
        <v>8</v>
      </c>
      <c r="E25" s="2" t="s">
        <v>10</v>
      </c>
      <c r="F25" s="62">
        <v>970</v>
      </c>
      <c r="G25" s="2"/>
      <c r="H25" s="21" t="s">
        <v>64</v>
      </c>
      <c r="I25" s="66">
        <v>0.1</v>
      </c>
      <c r="J25" s="26">
        <f>J17*I25</f>
        <v>655838.5</v>
      </c>
      <c r="K25" s="33"/>
    </row>
    <row r="26" spans="2:18" x14ac:dyDescent="0.35">
      <c r="B26" s="16"/>
      <c r="C26" s="16"/>
      <c r="D26" s="48" t="s">
        <v>8</v>
      </c>
      <c r="E26" s="2" t="s">
        <v>11</v>
      </c>
      <c r="F26" s="49">
        <v>2000</v>
      </c>
      <c r="G26" s="2"/>
      <c r="H26" s="2"/>
      <c r="I26" s="2"/>
      <c r="J26" s="2"/>
      <c r="K26" s="33"/>
    </row>
    <row r="27" spans="2:18" x14ac:dyDescent="0.35">
      <c r="B27" s="16"/>
      <c r="C27" s="19"/>
      <c r="D27" s="47" t="s">
        <v>12</v>
      </c>
      <c r="E27" s="20" t="s">
        <v>53</v>
      </c>
      <c r="F27" s="26">
        <f>F16-SUM(F18:F26)</f>
        <v>8347.2840729166637</v>
      </c>
      <c r="G27" s="2"/>
      <c r="H27" s="21" t="s">
        <v>16</v>
      </c>
      <c r="I27" s="20"/>
      <c r="J27" s="29">
        <f>J17-J25</f>
        <v>5902546.5</v>
      </c>
      <c r="K27" s="33"/>
    </row>
    <row r="28" spans="2:18" x14ac:dyDescent="0.35">
      <c r="B28" s="16"/>
      <c r="C28" s="2"/>
      <c r="D28" s="2"/>
      <c r="E28" s="2"/>
      <c r="F28" s="34"/>
      <c r="G28" s="2"/>
      <c r="H28" s="21" t="s">
        <v>60</v>
      </c>
      <c r="I28" s="22"/>
      <c r="J28" s="29">
        <f>J25+J19+J20</f>
        <v>811389.43</v>
      </c>
      <c r="K28" s="33"/>
    </row>
    <row r="29" spans="2:18" x14ac:dyDescent="0.35">
      <c r="B29" s="16"/>
      <c r="C29" s="21" t="s">
        <v>85</v>
      </c>
      <c r="D29" s="19" t="s">
        <v>74</v>
      </c>
      <c r="E29" s="47" t="s">
        <v>80</v>
      </c>
      <c r="F29" s="46">
        <f>SUM(F30:F34)</f>
        <v>2</v>
      </c>
      <c r="G29" s="2"/>
      <c r="H29" s="2"/>
      <c r="I29" s="2"/>
      <c r="J29" s="34"/>
      <c r="K29" s="33"/>
    </row>
    <row r="30" spans="2:18" x14ac:dyDescent="0.35">
      <c r="B30" s="16"/>
      <c r="C30" s="16"/>
      <c r="D30" s="16" t="s">
        <v>75</v>
      </c>
      <c r="E30" s="50">
        <v>4500</v>
      </c>
      <c r="F30" s="63">
        <v>1</v>
      </c>
      <c r="G30" s="2"/>
      <c r="H30" s="24" t="s">
        <v>55</v>
      </c>
      <c r="I30" s="15"/>
      <c r="J30" s="27">
        <f>(J27*I22)/12</f>
        <v>13034.790187500001</v>
      </c>
      <c r="K30" s="33"/>
    </row>
    <row r="31" spans="2:18" x14ac:dyDescent="0.35">
      <c r="B31" s="16"/>
      <c r="C31" s="45"/>
      <c r="D31" s="45" t="s">
        <v>81</v>
      </c>
      <c r="E31" s="50">
        <v>5000</v>
      </c>
      <c r="F31" s="64">
        <v>1</v>
      </c>
      <c r="G31" s="2"/>
      <c r="H31" s="16" t="s">
        <v>18</v>
      </c>
      <c r="I31" s="2"/>
      <c r="J31" s="25">
        <f>(J27*I23)/12</f>
        <v>9837.5775000000012</v>
      </c>
      <c r="K31" s="33"/>
    </row>
    <row r="32" spans="2:18" x14ac:dyDescent="0.35">
      <c r="B32" s="16"/>
      <c r="C32" s="45"/>
      <c r="D32" s="45" t="s">
        <v>76</v>
      </c>
      <c r="E32" s="50">
        <v>6500</v>
      </c>
      <c r="F32" s="64"/>
      <c r="G32" s="2"/>
      <c r="H32" s="21" t="s">
        <v>56</v>
      </c>
      <c r="I32" s="22"/>
      <c r="J32" s="29">
        <f>SUM(J30+J31)</f>
        <v>22872.367687500002</v>
      </c>
      <c r="K32" s="33"/>
    </row>
    <row r="33" spans="2:11" x14ac:dyDescent="0.35">
      <c r="B33" s="16"/>
      <c r="C33" s="45"/>
      <c r="D33" s="45" t="s">
        <v>77</v>
      </c>
      <c r="E33" s="50">
        <v>7500</v>
      </c>
      <c r="F33" s="64"/>
      <c r="G33" s="2"/>
      <c r="H33" s="2"/>
      <c r="I33" s="2"/>
      <c r="J33" s="34"/>
      <c r="K33" s="33"/>
    </row>
    <row r="34" spans="2:11" x14ac:dyDescent="0.35">
      <c r="B34" s="16"/>
      <c r="C34" s="45"/>
      <c r="D34" s="45" t="s">
        <v>79</v>
      </c>
      <c r="E34" s="51">
        <v>8500</v>
      </c>
      <c r="F34" s="65"/>
      <c r="G34" s="2"/>
      <c r="H34" s="2"/>
      <c r="I34" s="2"/>
      <c r="J34" s="34"/>
      <c r="K34" s="33"/>
    </row>
    <row r="35" spans="2:11" x14ac:dyDescent="0.35">
      <c r="B35" s="16"/>
      <c r="C35" s="19" t="s">
        <v>78</v>
      </c>
      <c r="D35" s="20"/>
      <c r="E35" s="20"/>
      <c r="F35" s="26">
        <f>F30*E30+F31*E31+F32*E32+F33*E33+F34*E34</f>
        <v>9500</v>
      </c>
      <c r="G35" s="2"/>
      <c r="H35" s="2"/>
      <c r="I35" s="2"/>
      <c r="J35" s="34"/>
      <c r="K35" s="33"/>
    </row>
    <row r="36" spans="2:11" x14ac:dyDescent="0.35">
      <c r="B36" s="16"/>
      <c r="C36" s="2"/>
      <c r="D36" s="2"/>
      <c r="E36" s="2"/>
      <c r="F36" s="2"/>
      <c r="G36" s="2"/>
      <c r="H36" s="2"/>
      <c r="I36" s="2"/>
      <c r="J36" s="34"/>
      <c r="K36" s="33"/>
    </row>
    <row r="37" spans="2:11" x14ac:dyDescent="0.35">
      <c r="B37" s="16"/>
      <c r="C37" s="2"/>
      <c r="D37" s="2"/>
      <c r="E37" s="2"/>
      <c r="F37" s="34"/>
      <c r="G37" s="2"/>
      <c r="H37" s="2"/>
      <c r="I37" s="2"/>
      <c r="J37" s="2"/>
      <c r="K37" s="33"/>
    </row>
    <row r="38" spans="2:11" ht="29.5" customHeight="1" x14ac:dyDescent="0.35">
      <c r="B38" s="16"/>
      <c r="C38" s="59" t="s">
        <v>57</v>
      </c>
      <c r="D38" s="60"/>
      <c r="E38" s="61"/>
      <c r="F38" s="39">
        <f>IF(OR((J30*12)="",(J30*12)*(J30*12)&lt;=0),0,MIN((J30*12),200000)*0.3+MAX((J30*12)-200000,0)*0.21)</f>
        <v>46925.244675000002</v>
      </c>
      <c r="G38" s="2"/>
      <c r="H38" s="2"/>
      <c r="I38" s="2"/>
      <c r="J38" s="34"/>
      <c r="K38" s="33"/>
    </row>
    <row r="39" spans="2:11" ht="16" customHeight="1" x14ac:dyDescent="0.35">
      <c r="B39" s="16"/>
      <c r="C39" s="19" t="s">
        <v>58</v>
      </c>
      <c r="D39" s="20"/>
      <c r="E39" s="20"/>
      <c r="F39" s="26">
        <f>F38/12</f>
        <v>3910.4370562500003</v>
      </c>
      <c r="G39" s="2"/>
      <c r="H39" s="2"/>
      <c r="I39" s="2"/>
      <c r="J39" s="34"/>
      <c r="K39" s="33"/>
    </row>
    <row r="40" spans="2:11" s="23" customFormat="1" ht="32" customHeight="1" x14ac:dyDescent="0.35">
      <c r="B40" s="30"/>
      <c r="C40" s="59" t="s">
        <v>44</v>
      </c>
      <c r="D40" s="60"/>
      <c r="E40" s="60"/>
      <c r="F40" s="43"/>
      <c r="G40" s="31"/>
      <c r="H40" s="31"/>
      <c r="I40" s="31"/>
      <c r="J40" s="41"/>
      <c r="K40" s="35"/>
    </row>
    <row r="41" spans="2:11" x14ac:dyDescent="0.35">
      <c r="B41" s="16"/>
      <c r="C41" s="2"/>
      <c r="D41" s="2"/>
      <c r="E41" s="2"/>
      <c r="F41" s="2"/>
      <c r="G41" s="2"/>
      <c r="H41" s="2"/>
      <c r="I41" s="2"/>
      <c r="J41" s="34"/>
      <c r="K41" s="33"/>
    </row>
    <row r="42" spans="2:11" ht="20" customHeight="1" x14ac:dyDescent="0.35">
      <c r="B42" s="16"/>
      <c r="C42" s="2"/>
      <c r="D42" s="2"/>
      <c r="E42" s="2"/>
      <c r="F42" s="34"/>
      <c r="G42" s="2"/>
      <c r="H42" s="2"/>
      <c r="I42" s="2"/>
      <c r="J42" s="34"/>
      <c r="K42" s="33"/>
    </row>
    <row r="43" spans="2:11" ht="23.5" x14ac:dyDescent="0.55000000000000004">
      <c r="B43" s="16"/>
      <c r="C43" s="54" t="s">
        <v>54</v>
      </c>
      <c r="D43" s="55"/>
      <c r="E43" s="55"/>
      <c r="F43" s="56">
        <f>F14+F27+F39-F35</f>
        <v>4105.0052020833282</v>
      </c>
      <c r="G43" s="2"/>
      <c r="H43" s="2"/>
      <c r="I43" s="2"/>
      <c r="J43" s="2"/>
      <c r="K43" s="33"/>
    </row>
    <row r="44" spans="2:11" x14ac:dyDescent="0.35">
      <c r="B44" s="17"/>
      <c r="C44" s="18"/>
      <c r="D44" s="18"/>
      <c r="E44" s="18"/>
      <c r="F44" s="18"/>
      <c r="G44" s="18"/>
      <c r="H44" s="18"/>
      <c r="I44" s="18"/>
      <c r="J44" s="18"/>
      <c r="K44" s="36"/>
    </row>
    <row r="47" spans="2:11" x14ac:dyDescent="0.35">
      <c r="C47" t="s">
        <v>51</v>
      </c>
    </row>
    <row r="49" spans="3:3" x14ac:dyDescent="0.35">
      <c r="C49" t="s">
        <v>32</v>
      </c>
    </row>
    <row r="51" spans="3:3" x14ac:dyDescent="0.35">
      <c r="C51" t="s">
        <v>36</v>
      </c>
    </row>
    <row r="52" spans="3:3" x14ac:dyDescent="0.35">
      <c r="C52" t="s">
        <v>37</v>
      </c>
    </row>
    <row r="53" spans="3:3" x14ac:dyDescent="0.35">
      <c r="C53" t="s">
        <v>38</v>
      </c>
    </row>
    <row r="54" spans="3:3" x14ac:dyDescent="0.35">
      <c r="C54" t="s">
        <v>33</v>
      </c>
    </row>
    <row r="55" spans="3:3" x14ac:dyDescent="0.35">
      <c r="C55" t="s">
        <v>34</v>
      </c>
    </row>
    <row r="56" spans="3:3" x14ac:dyDescent="0.35">
      <c r="C56" t="s">
        <v>39</v>
      </c>
    </row>
    <row r="57" spans="3:3" x14ac:dyDescent="0.35">
      <c r="C57" t="s">
        <v>40</v>
      </c>
    </row>
  </sheetData>
  <mergeCells count="3">
    <mergeCell ref="H6:I6"/>
    <mergeCell ref="C40:E40"/>
    <mergeCell ref="C38:E3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9891-DFB9-4C8B-B8AB-6B7752F9B03A}">
  <dimension ref="B3:E10"/>
  <sheetViews>
    <sheetView workbookViewId="0">
      <selection activeCell="B3" sqref="B3:E10"/>
    </sheetView>
  </sheetViews>
  <sheetFormatPr defaultRowHeight="14.5" x14ac:dyDescent="0.35"/>
  <cols>
    <col min="2" max="2" width="11.7265625" customWidth="1"/>
    <col min="4" max="4" width="9" bestFit="1" customWidth="1"/>
  </cols>
  <sheetData>
    <row r="3" spans="2:5" x14ac:dyDescent="0.35">
      <c r="B3" t="s">
        <v>69</v>
      </c>
      <c r="C3" t="s">
        <v>70</v>
      </c>
      <c r="D3" t="s">
        <v>71</v>
      </c>
      <c r="E3" t="s">
        <v>72</v>
      </c>
    </row>
    <row r="4" spans="2:5" x14ac:dyDescent="0.35">
      <c r="B4">
        <v>0</v>
      </c>
      <c r="C4">
        <v>1</v>
      </c>
      <c r="D4" s="1">
        <v>4500</v>
      </c>
    </row>
    <row r="5" spans="2:5" x14ac:dyDescent="0.35">
      <c r="B5">
        <v>2</v>
      </c>
      <c r="C5">
        <v>5</v>
      </c>
      <c r="D5" s="1">
        <v>5000</v>
      </c>
      <c r="E5">
        <v>1</v>
      </c>
    </row>
    <row r="6" spans="2:5" x14ac:dyDescent="0.35">
      <c r="B6">
        <v>6</v>
      </c>
      <c r="C6">
        <v>9</v>
      </c>
      <c r="D6" s="1">
        <v>6500</v>
      </c>
      <c r="E6">
        <v>1</v>
      </c>
    </row>
    <row r="7" spans="2:5" x14ac:dyDescent="0.35">
      <c r="B7">
        <v>10</v>
      </c>
      <c r="C7">
        <v>13</v>
      </c>
      <c r="D7" s="1">
        <v>7500</v>
      </c>
    </row>
    <row r="8" spans="2:5" x14ac:dyDescent="0.35">
      <c r="B8">
        <v>14</v>
      </c>
      <c r="C8">
        <v>17</v>
      </c>
      <c r="D8" s="1">
        <v>8500</v>
      </c>
    </row>
    <row r="10" spans="2:5" x14ac:dyDescent="0.35">
      <c r="B10" t="s">
        <v>73</v>
      </c>
      <c r="E10" s="44">
        <f>E4*D4+E5*D5+E6*D6+E7*D7+E8*D8</f>
        <v>11500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KALP Detaljer</vt:lpstr>
      <vt:lpstr>Blad1</vt:lpstr>
      <vt:lpstr>Blad2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Peter Nilsson</cp:lastModifiedBy>
  <dcterms:created xsi:type="dcterms:W3CDTF">2025-12-04T09:52:17Z</dcterms:created>
  <dcterms:modified xsi:type="dcterms:W3CDTF">2026-02-05T09:11:53Z</dcterms:modified>
</cp:coreProperties>
</file>